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270" windowWidth="15480" windowHeight="10170"/>
  </bookViews>
  <sheets>
    <sheet name="DATOS" sheetId="5" r:id="rId1"/>
    <sheet name="CALCULO RECLASIFICACIONES" sheetId="3" state="hidden" r:id="rId2"/>
    <sheet name="TABLA ADECUACIONES" sheetId="4" state="hidden" r:id="rId3"/>
  </sheets>
  <calcPr calcId="145621"/>
</workbook>
</file>

<file path=xl/calcChain.xml><?xml version="1.0" encoding="utf-8"?>
<calcChain xmlns="http://schemas.openxmlformats.org/spreadsheetml/2006/main">
  <c r="Q10" i="3" l="1"/>
  <c r="B3" i="3"/>
  <c r="B6" i="3"/>
  <c r="D10" i="3" s="1"/>
  <c r="H10" i="3" l="1"/>
  <c r="L10" i="3" s="1"/>
  <c r="M10" i="3" s="1"/>
  <c r="D12" i="3" s="1"/>
  <c r="U10" i="3"/>
  <c r="I10" i="3"/>
  <c r="V10" i="3"/>
  <c r="J10" i="3"/>
  <c r="W10" i="3"/>
  <c r="G10" i="5"/>
  <c r="F10" i="5"/>
  <c r="E10" i="5"/>
  <c r="O10" i="3" l="1"/>
  <c r="P10" i="3" s="1"/>
  <c r="Q12" i="3" s="1"/>
  <c r="I12" i="3"/>
  <c r="J12" i="3"/>
  <c r="H12" i="3"/>
  <c r="L12" i="3" s="1"/>
  <c r="M12" i="3" s="1"/>
  <c r="D14" i="3" s="1"/>
  <c r="D11" i="3"/>
  <c r="D5" i="5"/>
  <c r="U12" i="3" l="1"/>
  <c r="O12" i="3" s="1"/>
  <c r="P12" i="3" s="1"/>
  <c r="Q14" i="3" s="1"/>
  <c r="Q13" i="3" s="1"/>
  <c r="V12" i="3"/>
  <c r="W12" i="3"/>
  <c r="Q11" i="3"/>
  <c r="H14" i="3"/>
  <c r="L14" i="3" s="1"/>
  <c r="I14" i="3"/>
  <c r="J14" i="3"/>
  <c r="D13" i="3"/>
  <c r="J14" i="5"/>
  <c r="J15" i="5" s="1"/>
  <c r="J16" i="5" s="1"/>
  <c r="J17" i="5" s="1"/>
  <c r="J18" i="5" s="1"/>
  <c r="J19" i="5" s="1"/>
  <c r="J20" i="5" s="1"/>
  <c r="J21" i="5" s="1"/>
  <c r="J22" i="5" s="1"/>
  <c r="W14" i="3" l="1"/>
  <c r="U14" i="3"/>
  <c r="O14" i="3" s="1"/>
  <c r="P14" i="3" s="1"/>
  <c r="V14" i="3"/>
  <c r="M14" i="3"/>
  <c r="E11" i="5"/>
  <c r="F11" i="5"/>
  <c r="G11" i="5"/>
  <c r="H11" i="5" l="1"/>
  <c r="H10" i="5"/>
  <c r="H12" i="5" l="1"/>
  <c r="C23" i="5"/>
  <c r="C21" i="5"/>
  <c r="E17" i="4" l="1"/>
  <c r="E13" i="4"/>
  <c r="E12" i="4"/>
  <c r="E15" i="4"/>
  <c r="E14" i="4"/>
  <c r="E16" i="4"/>
  <c r="L18" i="3" s="1"/>
  <c r="O18" i="3" l="1"/>
  <c r="D23" i="5"/>
  <c r="D21" i="5"/>
  <c r="E23" i="5" l="1"/>
  <c r="F23" i="5"/>
  <c r="F21" i="5" l="1"/>
  <c r="E21" i="5"/>
</calcChain>
</file>

<file path=xl/sharedStrings.xml><?xml version="1.0" encoding="utf-8"?>
<sst xmlns="http://schemas.openxmlformats.org/spreadsheetml/2006/main" count="66" uniqueCount="52">
  <si>
    <t>AÑOS</t>
  </si>
  <si>
    <t>MESES</t>
  </si>
  <si>
    <t>DIAS</t>
  </si>
  <si>
    <t>FECHA ADQUISICIÓN 
TRAMO ACTUAL</t>
  </si>
  <si>
    <t>FECHA 
RECLASIFICACIÓN</t>
  </si>
  <si>
    <t>TRAMO
RECLASIFICADO</t>
  </si>
  <si>
    <t>CRITERIOS OBJETIVOS PROPUESTA RRHH - Subgrupo A2</t>
  </si>
  <si>
    <t>NIVEL</t>
  </si>
  <si>
    <t>TRAMO MAXIMO POR ADECUACION ADICIONAL (3)</t>
  </si>
  <si>
    <t>IMPORTE ADECUACION       CD + CE</t>
  </si>
  <si>
    <t>Resto ámbitos AEAT</t>
  </si>
  <si>
    <t>ANUAL (**)</t>
  </si>
  <si>
    <r>
      <t xml:space="preserve">MENSUAL   </t>
    </r>
    <r>
      <rPr>
        <sz val="10"/>
        <color indexed="8"/>
        <rFont val="Calibri"/>
        <family val="2"/>
      </rPr>
      <t>(14 pagas)</t>
    </r>
  </si>
  <si>
    <t>Adecuación de TRAMO 0 a TRAMO 1</t>
  </si>
  <si>
    <r>
      <t xml:space="preserve">1 &lt;=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&lt; 5</t>
    </r>
  </si>
  <si>
    <t>Adecuación de TRAMO 1 a TRAMO 2</t>
  </si>
  <si>
    <r>
      <t>5 &lt;=</t>
    </r>
    <r>
      <rPr>
        <b/>
        <sz val="11"/>
        <color indexed="8"/>
        <rFont val="Calibri"/>
        <family val="2"/>
      </rPr>
      <t xml:space="preserve"> a</t>
    </r>
    <r>
      <rPr>
        <sz val="11"/>
        <color indexed="8"/>
        <rFont val="Calibri"/>
        <family val="2"/>
      </rPr>
      <t xml:space="preserve"> &lt; 10</t>
    </r>
  </si>
  <si>
    <t>Adecuación de TRAMO 2 a TRAMO 3</t>
  </si>
  <si>
    <r>
      <t xml:space="preserve">10 &lt;= </t>
    </r>
    <r>
      <rPr>
        <b/>
        <sz val="11"/>
        <color indexed="8"/>
        <rFont val="Calibri"/>
        <family val="2"/>
      </rPr>
      <t xml:space="preserve">a </t>
    </r>
    <r>
      <rPr>
        <sz val="11"/>
        <color indexed="8"/>
        <rFont val="Calibri"/>
        <family val="2"/>
      </rPr>
      <t>&lt; 15</t>
    </r>
  </si>
  <si>
    <t>Adecuación de TRAMO 3 a TRAMO 4</t>
  </si>
  <si>
    <r>
      <t>15 &lt;=</t>
    </r>
    <r>
      <rPr>
        <b/>
        <sz val="11"/>
        <color indexed="8"/>
        <rFont val="Calibri"/>
        <family val="2"/>
      </rPr>
      <t xml:space="preserve"> a</t>
    </r>
    <r>
      <rPr>
        <sz val="11"/>
        <color indexed="8"/>
        <rFont val="Calibri"/>
        <family val="2"/>
      </rPr>
      <t xml:space="preserve"> &lt; 20</t>
    </r>
  </si>
  <si>
    <t>Adecuación de TRAMO 4 a TRAMO 5</t>
  </si>
  <si>
    <r>
      <t xml:space="preserve">20 &lt;=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&lt; 24</t>
    </r>
  </si>
  <si>
    <t>Adecuación de TRAMO 5 a TRAMO 6</t>
  </si>
  <si>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&gt; = 24</t>
    </r>
  </si>
  <si>
    <t>PARA RECLASIFICACIONES EN FUNCIÓN DEL TIEMPO EN EL TRAMO</t>
  </si>
  <si>
    <t>AÑOS DE ANTIGÜEDAD ACUMULADOS</t>
  </si>
  <si>
    <t>AÑOS DE PERMANENCIA EN EL TRAMO</t>
  </si>
  <si>
    <t>TRAMO RECLASIFICADO 
A 01-09-2019</t>
  </si>
  <si>
    <t>(INTRODUCIR DATO)</t>
  </si>
  <si>
    <t>TRAMO ACTUAL
Y DESTINO</t>
  </si>
  <si>
    <t>I.Balears, I.Canarias y Cataluña</t>
  </si>
  <si>
    <r>
      <t xml:space="preserve">TRAMO
RECLASIFICADO
</t>
    </r>
    <r>
      <rPr>
        <b/>
        <sz val="10"/>
        <color rgb="FFC00000"/>
        <rFont val="Arial"/>
        <family val="2"/>
      </rPr>
      <t>CATALUÑA, I.BALEARS, I.CANARIAS</t>
    </r>
  </si>
  <si>
    <t>SUBE</t>
  </si>
  <si>
    <t>TRAMO ACTUAL O RESERVADO</t>
  </si>
  <si>
    <t>CALCULAR LA ANTIGÜEDAD A 1/09/2019</t>
  </si>
  <si>
    <t>FECHA INICIO</t>
  </si>
  <si>
    <t>FECHA FIN</t>
  </si>
  <si>
    <t>SUBGRUPO ACTUAL (A2)</t>
  </si>
  <si>
    <t>SUBGRUPO ANTERIOR (C1)</t>
  </si>
  <si>
    <t>TOTAL AÑOS</t>
  </si>
  <si>
    <t>INTRODUCIR DATOS</t>
  </si>
  <si>
    <t>FINAL</t>
  </si>
  <si>
    <t>ZONAS DEFICITARIAS</t>
  </si>
  <si>
    <t>RESTO ZONAS</t>
  </si>
  <si>
    <t>PUESTO EN ZONA DEFICITARIA</t>
  </si>
  <si>
    <t>SI</t>
  </si>
  <si>
    <t>NO</t>
  </si>
  <si>
    <t>OTROS CASOS</t>
  </si>
  <si>
    <t>DATOS INFORMATIVOS</t>
  </si>
  <si>
    <t>ADAPTACIONES PREVISTAS</t>
  </si>
  <si>
    <t>AMBITO GEOGRAFICO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</si>
</sst>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&quot;Sí&quot;;&quot;Sí&quot;;&quot;No&quot;"/>
  </numFmts>
  <fonts count="38" x14ac:knownFonts="1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rgb="FFC00000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7030A0"/>
      <name val="Arial"/>
      <family val="2"/>
    </font>
    <font>
      <b/>
      <sz val="16"/>
      <color rgb="FFFF0000"/>
      <name val="Arial"/>
      <family val="2"/>
    </font>
    <font>
      <b/>
      <sz val="10"/>
      <color rgb="FFC00000"/>
      <name val="Arial"/>
      <family val="2"/>
    </font>
    <font>
      <sz val="16"/>
      <color rgb="FF7030A0"/>
      <name val="Arial"/>
      <family val="2"/>
    </font>
    <font>
      <sz val="16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20"/>
      <color rgb="FF7030A0"/>
      <name val="Arial"/>
      <family val="2"/>
    </font>
    <font>
      <b/>
      <sz val="20"/>
      <color rgb="FFC00000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7030A0"/>
      <name val="Arial"/>
      <family val="2"/>
    </font>
    <font>
      <b/>
      <sz val="10"/>
      <color rgb="FF0000CC"/>
      <name val="Arial"/>
      <family val="2"/>
    </font>
    <font>
      <b/>
      <sz val="14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/>
      <bottom style="thick">
        <color rgb="FF7030A0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6" fontId="11" fillId="2" borderId="5" xfId="0" applyNumberFormat="1" applyFont="1" applyFill="1" applyBorder="1" applyAlignment="1">
      <alignment horizontal="center" vertical="center"/>
    </xf>
    <xf numFmtId="6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6" fontId="11" fillId="2" borderId="2" xfId="0" applyNumberFormat="1" applyFont="1" applyFill="1" applyBorder="1" applyAlignment="1">
      <alignment horizontal="center" vertical="center"/>
    </xf>
    <xf numFmtId="6" fontId="1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0" applyFont="1"/>
    <xf numFmtId="1" fontId="27" fillId="6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left" vertical="center"/>
    </xf>
    <xf numFmtId="14" fontId="27" fillId="6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14" fontId="28" fillId="0" borderId="3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1" fontId="30" fillId="7" borderId="24" xfId="0" applyNumberFormat="1" applyFont="1" applyFill="1" applyBorder="1" applyAlignment="1" applyProtection="1">
      <alignment horizontal="center" vertical="center"/>
    </xf>
    <xf numFmtId="1" fontId="30" fillId="7" borderId="23" xfId="0" applyNumberFormat="1" applyFont="1" applyFill="1" applyBorder="1" applyAlignment="1" applyProtection="1">
      <alignment horizontal="center" vertical="center"/>
    </xf>
    <xf numFmtId="4" fontId="31" fillId="7" borderId="2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" fontId="8" fillId="0" borderId="22" xfId="0" applyNumberFormat="1" applyFont="1" applyBorder="1" applyAlignment="1" applyProtection="1">
      <alignment horizontal="center" vertical="center"/>
    </xf>
    <xf numFmtId="14" fontId="28" fillId="6" borderId="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4" fillId="6" borderId="0" xfId="0" applyNumberFormat="1" applyFont="1" applyFill="1" applyAlignment="1">
      <alignment horizontal="center" vertical="center"/>
    </xf>
    <xf numFmtId="14" fontId="36" fillId="6" borderId="0" xfId="0" applyNumberFormat="1" applyFont="1" applyFill="1" applyAlignment="1">
      <alignment horizontal="center" vertical="center"/>
    </xf>
    <xf numFmtId="14" fontId="37" fillId="9" borderId="0" xfId="0" applyNumberFormat="1" applyFont="1" applyFill="1" applyAlignment="1">
      <alignment horizontal="center" vertical="center"/>
    </xf>
    <xf numFmtId="0" fontId="25" fillId="10" borderId="3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/>
    </xf>
    <xf numFmtId="0" fontId="34" fillId="3" borderId="3" xfId="0" applyFont="1" applyFill="1" applyBorder="1" applyAlignment="1" applyProtection="1">
      <alignment horizontal="center" vertical="center"/>
      <protection locked="0"/>
    </xf>
    <xf numFmtId="0" fontId="8" fillId="12" borderId="22" xfId="0" applyFont="1" applyFill="1" applyBorder="1" applyAlignment="1" applyProtection="1">
      <alignment horizontal="center" vertical="center"/>
    </xf>
    <xf numFmtId="14" fontId="8" fillId="12" borderId="2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1" fontId="23" fillId="0" borderId="16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 wrapText="1"/>
    </xf>
    <xf numFmtId="14" fontId="23" fillId="0" borderId="17" xfId="0" applyNumberFormat="1" applyFont="1" applyFill="1" applyBorder="1" applyAlignment="1" applyProtection="1">
      <alignment horizontal="center"/>
    </xf>
    <xf numFmtId="0" fontId="18" fillId="0" borderId="20" xfId="0" applyFont="1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0" fillId="3" borderId="0" xfId="0" applyFill="1" applyProtection="1"/>
    <xf numFmtId="0" fontId="2" fillId="0" borderId="0" xfId="0" applyFont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  <xf numFmtId="0" fontId="22" fillId="4" borderId="19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14" fontId="1" fillId="0" borderId="21" xfId="0" applyNumberFormat="1" applyFont="1" applyFill="1" applyBorder="1" applyAlignment="1" applyProtection="1">
      <alignment horizontal="center"/>
    </xf>
    <xf numFmtId="14" fontId="24" fillId="4" borderId="17" xfId="0" applyNumberFormat="1" applyFont="1" applyFill="1" applyBorder="1" applyAlignment="1" applyProtection="1">
      <alignment horizontal="center"/>
    </xf>
    <xf numFmtId="0" fontId="0" fillId="4" borderId="0" xfId="0" applyFill="1" applyProtection="1"/>
    <xf numFmtId="14" fontId="1" fillId="4" borderId="15" xfId="0" applyNumberFormat="1" applyFont="1" applyFill="1" applyBorder="1" applyAlignment="1" applyProtection="1">
      <alignment horizontal="center"/>
    </xf>
    <xf numFmtId="1" fontId="1" fillId="4" borderId="17" xfId="0" applyNumberFormat="1" applyFont="1" applyFill="1" applyBorder="1" applyAlignment="1" applyProtection="1">
      <alignment horizontal="center"/>
    </xf>
    <xf numFmtId="1" fontId="15" fillId="4" borderId="0" xfId="0" applyNumberFormat="1" applyFont="1" applyFill="1" applyBorder="1" applyAlignment="1" applyProtection="1">
      <alignment horizontal="center"/>
    </xf>
    <xf numFmtId="1" fontId="1" fillId="5" borderId="18" xfId="0" applyNumberFormat="1" applyFont="1" applyFill="1" applyBorder="1" applyAlignment="1" applyProtection="1">
      <alignment horizontal="center"/>
    </xf>
    <xf numFmtId="1" fontId="16" fillId="5" borderId="0" xfId="0" applyNumberFormat="1" applyFont="1" applyFill="1" applyBorder="1" applyAlignment="1" applyProtection="1">
      <alignment horizontal="center"/>
    </xf>
    <xf numFmtId="14" fontId="1" fillId="5" borderId="14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14" fontId="1" fillId="5" borderId="15" xfId="0" applyNumberFormat="1" applyFont="1" applyFill="1" applyBorder="1" applyAlignment="1" applyProtection="1">
      <alignment horizontal="center"/>
    </xf>
    <xf numFmtId="0" fontId="21" fillId="4" borderId="20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21" fillId="5" borderId="0" xfId="0" applyFont="1" applyFill="1" applyAlignment="1" applyProtection="1">
      <alignment horizontal="center" vertical="center"/>
    </xf>
    <xf numFmtId="14" fontId="1" fillId="4" borderId="17" xfId="0" applyNumberFormat="1" applyFont="1" applyFill="1" applyBorder="1" applyAlignment="1" applyProtection="1">
      <alignment horizontal="center"/>
    </xf>
    <xf numFmtId="1" fontId="1" fillId="5" borderId="14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0" fontId="21" fillId="5" borderId="0" xfId="0" applyFont="1" applyFill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7" fillId="5" borderId="0" xfId="0" applyFont="1" applyFill="1" applyProtection="1"/>
    <xf numFmtId="0" fontId="6" fillId="0" borderId="0" xfId="0" applyFont="1" applyProtection="1"/>
    <xf numFmtId="1" fontId="19" fillId="4" borderId="17" xfId="0" applyNumberFormat="1" applyFont="1" applyFill="1" applyBorder="1" applyAlignment="1" applyProtection="1">
      <alignment horizontal="center"/>
    </xf>
    <xf numFmtId="1" fontId="20" fillId="5" borderId="17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horizontal="center" vertical="center"/>
    </xf>
    <xf numFmtId="0" fontId="2" fillId="11" borderId="27" xfId="0" applyFont="1" applyFill="1" applyBorder="1" applyAlignment="1" applyProtection="1">
      <alignment horizontal="center" vertical="center"/>
    </xf>
    <xf numFmtId="0" fontId="2" fillId="11" borderId="12" xfId="0" applyFont="1" applyFill="1" applyBorder="1" applyAlignment="1" applyProtection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406977</xdr:colOff>
      <xdr:row>15</xdr:row>
      <xdr:rowOff>121227</xdr:rowOff>
    </xdr:from>
    <xdr:to>
      <xdr:col>13</xdr:col>
      <xdr:colOff>501405</xdr:colOff>
      <xdr:row>22</xdr:row>
      <xdr:rowOff>141527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68" y="3325091"/>
          <a:ext cx="4311405" cy="136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showRowColHeaders="0" tabSelected="1" zoomScale="140" zoomScaleNormal="140" workbookViewId="0">
      <selection activeCell="C3" sqref="C3"/>
    </sheetView>
  </sheetViews>
  <sheetFormatPr baseColWidth="10" defaultRowHeight="12.75" x14ac:dyDescent="0.2"/>
  <cols>
    <col min="1" max="1" width="6" customWidth="1"/>
    <col min="2" max="2" width="39.5703125" bestFit="1" customWidth="1"/>
    <col min="3" max="3" width="14.42578125" bestFit="1" customWidth="1"/>
    <col min="4" max="4" width="12.28515625" bestFit="1" customWidth="1"/>
    <col min="5" max="5" width="11.85546875" bestFit="1" customWidth="1"/>
    <col min="8" max="8" width="11.28515625" customWidth="1"/>
    <col min="9" max="9" width="6.28515625" customWidth="1"/>
    <col min="10" max="10" width="11.42578125" style="21" hidden="1" customWidth="1"/>
  </cols>
  <sheetData>
    <row r="1" spans="2:10" ht="13.5" thickBot="1" x14ac:dyDescent="0.25"/>
    <row r="2" spans="2:10" ht="32.25" thickBot="1" x14ac:dyDescent="0.25">
      <c r="C2" s="50" t="s">
        <v>41</v>
      </c>
    </row>
    <row r="3" spans="2:10" ht="16.5" thickBot="1" x14ac:dyDescent="0.25">
      <c r="B3" s="26" t="s">
        <v>34</v>
      </c>
      <c r="C3" s="25"/>
      <c r="J3" s="45">
        <v>43709</v>
      </c>
    </row>
    <row r="4" spans="2:10" ht="13.5" thickBot="1" x14ac:dyDescent="0.25">
      <c r="J4" s="46" t="s">
        <v>46</v>
      </c>
    </row>
    <row r="5" spans="2:10" ht="18.75" thickBot="1" x14ac:dyDescent="0.25">
      <c r="B5" s="28" t="s">
        <v>3</v>
      </c>
      <c r="C5" s="27">
        <v>39400</v>
      </c>
      <c r="D5" s="109" t="str">
        <f>IF(C5=J26,"En este supuesto CONSULTAR",IF(C5=J23,"16ª PROMOCIÓN CTH",IF(C5=J24,"17ª PROMOCIÓN CTH",IF(C5=J25,"18ª PROMOCIÓN CTH",""))))</f>
        <v/>
      </c>
      <c r="E5" s="110"/>
      <c r="F5" s="110"/>
      <c r="G5" s="110"/>
      <c r="H5" s="110"/>
      <c r="J5" s="46" t="s">
        <v>47</v>
      </c>
    </row>
    <row r="6" spans="2:10" ht="13.5" thickBot="1" x14ac:dyDescent="0.25">
      <c r="J6" s="21">
        <v>0</v>
      </c>
    </row>
    <row r="7" spans="2:10" ht="13.5" thickBot="1" x14ac:dyDescent="0.25">
      <c r="B7" s="30" t="s">
        <v>45</v>
      </c>
      <c r="C7" s="52" t="s">
        <v>47</v>
      </c>
      <c r="J7" s="21">
        <v>1</v>
      </c>
    </row>
    <row r="8" spans="2:10" ht="13.5" thickBot="1" x14ac:dyDescent="0.25">
      <c r="E8" s="103" t="s">
        <v>49</v>
      </c>
      <c r="F8" s="104"/>
      <c r="G8" s="104"/>
      <c r="H8" s="105"/>
      <c r="J8" s="21">
        <v>2</v>
      </c>
    </row>
    <row r="9" spans="2:10" s="21" customFormat="1" ht="32.25" thickBot="1" x14ac:dyDescent="0.25">
      <c r="B9" s="29" t="s">
        <v>35</v>
      </c>
      <c r="C9" s="32" t="s">
        <v>36</v>
      </c>
      <c r="D9" s="32" t="s">
        <v>37</v>
      </c>
      <c r="E9" s="33" t="s">
        <v>0</v>
      </c>
      <c r="F9" s="34" t="s">
        <v>1</v>
      </c>
      <c r="G9" s="34" t="s">
        <v>2</v>
      </c>
      <c r="H9" s="35" t="s">
        <v>40</v>
      </c>
      <c r="J9" s="21">
        <v>3</v>
      </c>
    </row>
    <row r="10" spans="2:10" ht="16.5" thickBot="1" x14ac:dyDescent="0.3">
      <c r="B10" s="30" t="s">
        <v>38</v>
      </c>
      <c r="C10" s="41"/>
      <c r="D10" s="31">
        <v>43709</v>
      </c>
      <c r="E10" s="36">
        <f>IF($C$10="",0,DATEDIF($C$10,($D$10+1),"Y"))</f>
        <v>0</v>
      </c>
      <c r="F10" s="37">
        <f>IF($C$10="",0,DATEDIF($C$10,($D$10+1),"YM"))</f>
        <v>0</v>
      </c>
      <c r="G10" s="37">
        <f>IF($C$10="",0,DATEDIF($C$10,($D$10+1),"MD"))</f>
        <v>0</v>
      </c>
      <c r="H10" s="38">
        <f>(E10+F10/12+G10/365)</f>
        <v>0</v>
      </c>
      <c r="J10" s="21">
        <v>4</v>
      </c>
    </row>
    <row r="11" spans="2:10" ht="16.5" thickBot="1" x14ac:dyDescent="0.3">
      <c r="B11" s="30" t="s">
        <v>39</v>
      </c>
      <c r="C11" s="41"/>
      <c r="D11" s="41"/>
      <c r="E11" s="36">
        <f>IF(OR($C$11="",$D$11=""),0,DATEDIF($C$11,($D$11+1),"Y"))</f>
        <v>0</v>
      </c>
      <c r="F11" s="37">
        <f>IF(OR($C$11="",$D$11=""),0,DATEDIF($C$11,($D$11+1),"YM"))</f>
        <v>0</v>
      </c>
      <c r="G11" s="37">
        <f>IF(OR($C$11="",$D$11=""),0,DATEDIF($C$11,($D$11+1),"MD"))</f>
        <v>0</v>
      </c>
      <c r="H11" s="38">
        <f>(E11+F11/12+G11/365)/2</f>
        <v>0</v>
      </c>
      <c r="J11" s="21">
        <v>5</v>
      </c>
    </row>
    <row r="12" spans="2:10" x14ac:dyDescent="0.2">
      <c r="E12" s="39"/>
      <c r="F12" s="39"/>
      <c r="G12" s="39"/>
      <c r="H12" s="38">
        <f>H10+H11</f>
        <v>0</v>
      </c>
      <c r="J12" s="47">
        <v>39400</v>
      </c>
    </row>
    <row r="13" spans="2:10" x14ac:dyDescent="0.2">
      <c r="J13" s="47">
        <v>39692</v>
      </c>
    </row>
    <row r="14" spans="2:10" x14ac:dyDescent="0.2">
      <c r="G14" s="22"/>
      <c r="H14" s="22"/>
      <c r="J14" s="47">
        <f>J13+365</f>
        <v>40057</v>
      </c>
    </row>
    <row r="15" spans="2:10" x14ac:dyDescent="0.2">
      <c r="J15" s="47">
        <f t="shared" ref="J15:J20" si="0">J14+365</f>
        <v>40422</v>
      </c>
    </row>
    <row r="16" spans="2:10" ht="13.5" thickBot="1" x14ac:dyDescent="0.25">
      <c r="G16" s="23"/>
      <c r="H16" s="23"/>
      <c r="J16" s="47">
        <f t="shared" si="0"/>
        <v>40787</v>
      </c>
    </row>
    <row r="17" spans="2:10" ht="21" thickBot="1" x14ac:dyDescent="0.25">
      <c r="B17" s="106" t="s">
        <v>50</v>
      </c>
      <c r="C17" s="107"/>
      <c r="D17" s="107"/>
      <c r="E17" s="107"/>
      <c r="F17" s="108"/>
      <c r="J17" s="47">
        <f>J16+366</f>
        <v>41153</v>
      </c>
    </row>
    <row r="18" spans="2:10" ht="13.5" thickBot="1" x14ac:dyDescent="0.25">
      <c r="B18" s="39"/>
      <c r="C18" s="39"/>
      <c r="D18" s="39"/>
      <c r="E18" s="39"/>
      <c r="F18" s="39"/>
      <c r="G18" s="24"/>
      <c r="H18" s="24"/>
      <c r="J18" s="47">
        <f t="shared" si="0"/>
        <v>41518</v>
      </c>
    </row>
    <row r="19" spans="2:10" s="22" customFormat="1" ht="14.25" thickTop="1" thickBot="1" x14ac:dyDescent="0.25">
      <c r="B19" s="53" t="s">
        <v>51</v>
      </c>
      <c r="C19" s="54">
        <v>43344</v>
      </c>
      <c r="D19" s="54">
        <v>43525</v>
      </c>
      <c r="E19" s="54">
        <v>43709</v>
      </c>
      <c r="F19" s="53" t="s">
        <v>42</v>
      </c>
      <c r="G19"/>
      <c r="H19"/>
      <c r="J19" s="47">
        <f t="shared" si="0"/>
        <v>41883</v>
      </c>
    </row>
    <row r="20" spans="2:10" ht="14.25" thickTop="1" thickBot="1" x14ac:dyDescent="0.25">
      <c r="B20" s="39"/>
      <c r="C20" s="39"/>
      <c r="D20" s="39"/>
      <c r="E20" s="39"/>
      <c r="F20" s="39"/>
      <c r="J20" s="47">
        <f t="shared" si="0"/>
        <v>42248</v>
      </c>
    </row>
    <row r="21" spans="2:10" s="23" customFormat="1" ht="14.25" thickTop="1" thickBot="1" x14ac:dyDescent="0.25">
      <c r="B21" s="42" t="s">
        <v>44</v>
      </c>
      <c r="C21" s="40">
        <f>'CALCULO RECLASIFICACIONES'!L10</f>
        <v>1</v>
      </c>
      <c r="D21" s="40">
        <f>'CALCULO RECLASIFICACIONES'!L12</f>
        <v>2</v>
      </c>
      <c r="E21" s="40">
        <f>'CALCULO RECLASIFICACIONES'!L14</f>
        <v>3</v>
      </c>
      <c r="F21" s="51">
        <f>'CALCULO RECLASIFICACIONES'!L18</f>
        <v>3</v>
      </c>
      <c r="G21"/>
      <c r="H21"/>
      <c r="J21" s="47">
        <f>J20+366</f>
        <v>42614</v>
      </c>
    </row>
    <row r="22" spans="2:10" ht="14.25" thickTop="1" thickBot="1" x14ac:dyDescent="0.25">
      <c r="B22" s="43"/>
      <c r="C22" s="44"/>
      <c r="D22" s="44"/>
      <c r="E22" s="44"/>
      <c r="F22" s="44"/>
      <c r="J22" s="47">
        <f>J21+365</f>
        <v>42979</v>
      </c>
    </row>
    <row r="23" spans="2:10" s="24" customFormat="1" ht="14.25" thickTop="1" thickBot="1" x14ac:dyDescent="0.25">
      <c r="B23" s="42" t="s">
        <v>43</v>
      </c>
      <c r="C23" s="40">
        <f>'CALCULO RECLASIFICACIONES'!O10</f>
        <v>1</v>
      </c>
      <c r="D23" s="40">
        <f>'CALCULO RECLASIFICACIONES'!O12</f>
        <v>2</v>
      </c>
      <c r="E23" s="40">
        <f>'CALCULO RECLASIFICACIONES'!O14</f>
        <v>3</v>
      </c>
      <c r="F23" s="40">
        <f>'CALCULO RECLASIFICACIONES'!O18</f>
        <v>3</v>
      </c>
      <c r="G23"/>
      <c r="H23"/>
      <c r="J23" s="48">
        <v>42523</v>
      </c>
    </row>
    <row r="24" spans="2:10" ht="13.5" thickTop="1" x14ac:dyDescent="0.2">
      <c r="J24" s="48">
        <v>42853</v>
      </c>
    </row>
    <row r="25" spans="2:10" x14ac:dyDescent="0.2">
      <c r="J25" s="48">
        <v>43202</v>
      </c>
    </row>
    <row r="26" spans="2:10" x14ac:dyDescent="0.2">
      <c r="J26" s="49" t="s">
        <v>48</v>
      </c>
    </row>
  </sheetData>
  <sheetProtection algorithmName="SHA-512" hashValue="N9CQIepa8Jch7/Mk1Y68DQzrpRE7h+a9vWazqlhZJCO5eVwy0lE1hiQPkGyFjnbODtYsOsVLU46x5BWZ9LNuLQ==" saltValue="4jL9TisSgrAYbDB900nQCg==" spinCount="100000" sheet="1" objects="1" scenarios="1" selectLockedCells="1"/>
  <mergeCells count="3">
    <mergeCell ref="E8:H8"/>
    <mergeCell ref="B17:F17"/>
    <mergeCell ref="D5:H5"/>
  </mergeCells>
  <conditionalFormatting sqref="C21:F21">
    <cfRule type="expression" dxfId="4" priority="5">
      <formula>$C$7="NO"</formula>
    </cfRule>
  </conditionalFormatting>
  <conditionalFormatting sqref="C23:F23">
    <cfRule type="expression" dxfId="3" priority="4">
      <formula>$C$7="SI"</formula>
    </cfRule>
  </conditionalFormatting>
  <conditionalFormatting sqref="B21">
    <cfRule type="expression" dxfId="2" priority="3">
      <formula>$C$7="NO"</formula>
    </cfRule>
  </conditionalFormatting>
  <conditionalFormatting sqref="B23">
    <cfRule type="expression" dxfId="1" priority="2">
      <formula>$C$7="SI"</formula>
    </cfRule>
  </conditionalFormatting>
  <conditionalFormatting sqref="C5">
    <cfRule type="cellIs" dxfId="0" priority="1" operator="equal">
      <formula>"OTROS CASOS"</formula>
    </cfRule>
  </conditionalFormatting>
  <dataValidations count="4">
    <dataValidation type="list" allowBlank="1" showInputMessage="1" showErrorMessage="1" sqref="D10">
      <formula1>$J$3</formula1>
    </dataValidation>
    <dataValidation type="list" allowBlank="1" showInputMessage="1" showErrorMessage="1" sqref="C7">
      <formula1>$J$4:$J$5</formula1>
    </dataValidation>
    <dataValidation type="list" allowBlank="1" showInputMessage="1" showErrorMessage="1" sqref="C3">
      <formula1>$J$6:$J$11</formula1>
    </dataValidation>
    <dataValidation type="list" allowBlank="1" showInputMessage="1" showErrorMessage="1" sqref="C5">
      <formula1>$J$12:$J$26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1"/>
  <sheetViews>
    <sheetView zoomScale="70" zoomScaleNormal="70" workbookViewId="0">
      <selection activeCell="S12" sqref="S12"/>
    </sheetView>
  </sheetViews>
  <sheetFormatPr baseColWidth="10" defaultRowHeight="12.75" x14ac:dyDescent="0.2"/>
  <cols>
    <col min="1" max="1" width="1.7109375" style="39" customWidth="1"/>
    <col min="2" max="2" width="30" style="39" customWidth="1"/>
    <col min="3" max="3" width="1.7109375" style="39" customWidth="1"/>
    <col min="4" max="4" width="23.85546875" style="39" customWidth="1"/>
    <col min="5" max="5" width="2" style="39" customWidth="1"/>
    <col min="6" max="6" width="39" style="39" customWidth="1"/>
    <col min="7" max="7" width="3.28515625" style="39" customWidth="1"/>
    <col min="8" max="8" width="22.140625" style="39" bestFit="1" customWidth="1"/>
    <col min="9" max="9" width="11.7109375" style="39" customWidth="1"/>
    <col min="10" max="10" width="11.5703125" style="39" bestFit="1" customWidth="1"/>
    <col min="11" max="11" width="12.140625" style="39" bestFit="1" customWidth="1"/>
    <col min="12" max="12" width="25.85546875" style="39" bestFit="1" customWidth="1"/>
    <col min="13" max="13" width="11.7109375" style="56" bestFit="1" customWidth="1"/>
    <col min="14" max="14" width="3.140625" style="56" customWidth="1"/>
    <col min="15" max="15" width="26.7109375" style="39" customWidth="1"/>
    <col min="16" max="16" width="13.28515625" style="39" customWidth="1"/>
    <col min="17" max="17" width="25.7109375" style="39" customWidth="1"/>
    <col min="18" max="18" width="5.7109375" style="39" customWidth="1"/>
    <col min="19" max="19" width="28.140625" style="39" bestFit="1" customWidth="1"/>
    <col min="20" max="20" width="5.7109375" style="39" customWidth="1"/>
    <col min="21" max="21" width="22.140625" style="39" bestFit="1" customWidth="1"/>
    <col min="22" max="25" width="11.42578125" style="39"/>
    <col min="26" max="26" width="5.140625" style="39" customWidth="1"/>
    <col min="27" max="16384" width="11.42578125" style="39"/>
  </cols>
  <sheetData>
    <row r="2" spans="2:23" ht="41.25" thickBot="1" x14ac:dyDescent="0.25">
      <c r="B2" s="55" t="s">
        <v>30</v>
      </c>
    </row>
    <row r="3" spans="2:23" ht="24.75" thickTop="1" thickBot="1" x14ac:dyDescent="0.4">
      <c r="B3" s="57">
        <f>DATOS!C3</f>
        <v>0</v>
      </c>
    </row>
    <row r="4" spans="2:23" ht="13.5" thickTop="1" x14ac:dyDescent="0.2">
      <c r="B4" s="58" t="s">
        <v>29</v>
      </c>
    </row>
    <row r="5" spans="2:23" ht="61.5" thickBot="1" x14ac:dyDescent="0.25">
      <c r="B5" s="59" t="s">
        <v>3</v>
      </c>
    </row>
    <row r="6" spans="2:23" ht="24.75" thickTop="1" thickBot="1" x14ac:dyDescent="0.4">
      <c r="B6" s="60">
        <f>DATOS!C5</f>
        <v>39400</v>
      </c>
    </row>
    <row r="7" spans="2:23" ht="13.5" thickTop="1" x14ac:dyDescent="0.2">
      <c r="B7" s="61" t="s">
        <v>29</v>
      </c>
    </row>
    <row r="8" spans="2:23" ht="27" thickBot="1" x14ac:dyDescent="0.45">
      <c r="H8" s="62" t="s">
        <v>25</v>
      </c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2:23" s="64" customFormat="1" ht="102" customHeight="1" thickTop="1" thickBot="1" x14ac:dyDescent="0.25">
      <c r="D9" s="65" t="s">
        <v>3</v>
      </c>
      <c r="E9" s="66"/>
      <c r="F9" s="67" t="s">
        <v>4</v>
      </c>
      <c r="G9" s="66"/>
      <c r="H9" s="68" t="s">
        <v>0</v>
      </c>
      <c r="I9" s="68" t="s">
        <v>1</v>
      </c>
      <c r="J9" s="68" t="s">
        <v>2</v>
      </c>
      <c r="K9" s="66"/>
      <c r="L9" s="69" t="s">
        <v>5</v>
      </c>
      <c r="M9" s="69" t="s">
        <v>33</v>
      </c>
      <c r="N9" s="56"/>
      <c r="O9" s="70" t="s">
        <v>32</v>
      </c>
      <c r="P9" s="71" t="s">
        <v>33</v>
      </c>
      <c r="Q9" s="72" t="s">
        <v>3</v>
      </c>
      <c r="R9" s="73"/>
      <c r="S9" s="74" t="s">
        <v>4</v>
      </c>
      <c r="T9" s="73"/>
      <c r="U9" s="75" t="s">
        <v>0</v>
      </c>
      <c r="V9" s="75" t="s">
        <v>1</v>
      </c>
      <c r="W9" s="75" t="s">
        <v>2</v>
      </c>
    </row>
    <row r="10" spans="2:23" ht="24.75" thickTop="1" thickBot="1" x14ac:dyDescent="0.4">
      <c r="C10" s="76"/>
      <c r="D10" s="77">
        <f>B6</f>
        <v>39400</v>
      </c>
      <c r="E10" s="78"/>
      <c r="F10" s="79">
        <v>43345</v>
      </c>
      <c r="G10" s="78"/>
      <c r="H10" s="68">
        <f>DATEDIF($D$10,F10,"Y")</f>
        <v>10</v>
      </c>
      <c r="I10" s="68">
        <f>DATEDIF($D$10,F10,"YM")</f>
        <v>9</v>
      </c>
      <c r="J10" s="68">
        <f>DATEDIF($D$10,F10,"MD")</f>
        <v>19</v>
      </c>
      <c r="K10" s="78"/>
      <c r="L10" s="80">
        <f>IF($H10&gt;=(VLOOKUP($B$3,'TABLA ADECUACIONES'!$A$12:$E$18,3,FALSE)),MIN($B$3+1,6),$B$3)</f>
        <v>1</v>
      </c>
      <c r="M10" s="81" t="str">
        <f>IF(L10&gt;B3,"SI","NO")</f>
        <v>SI</v>
      </c>
      <c r="O10" s="82">
        <f>IF($U10&gt;=(VLOOKUP($B$3,'TABLA ADECUACIONES'!$A$12:$E$18,4,FALSE)),MIN($B$3+1,6),$B$3)</f>
        <v>1</v>
      </c>
      <c r="P10" s="83" t="str">
        <f>IF(O10&gt;B3,"SI","NO")</f>
        <v>SI</v>
      </c>
      <c r="Q10" s="84">
        <f>D10</f>
        <v>39400</v>
      </c>
      <c r="R10" s="85"/>
      <c r="S10" s="86">
        <v>43344</v>
      </c>
      <c r="T10" s="85"/>
      <c r="U10" s="75">
        <f>DATEDIF($D$10,F10,"Y")</f>
        <v>10</v>
      </c>
      <c r="V10" s="75">
        <f>DATEDIF($D$10,F10,"YM")</f>
        <v>9</v>
      </c>
      <c r="W10" s="75">
        <f>DATEDIF($D$10,F10,"MD")</f>
        <v>19</v>
      </c>
    </row>
    <row r="11" spans="2:23" ht="24.75" thickTop="1" thickBot="1" x14ac:dyDescent="0.25">
      <c r="D11" s="87">
        <f>DATEDIF(D10,D12,"Y")</f>
        <v>1</v>
      </c>
      <c r="E11" s="78"/>
      <c r="F11" s="78"/>
      <c r="G11" s="78"/>
      <c r="H11" s="78"/>
      <c r="I11" s="78"/>
      <c r="J11" s="78"/>
      <c r="K11" s="78"/>
      <c r="L11" s="78"/>
      <c r="M11" s="88"/>
      <c r="O11" s="85"/>
      <c r="P11" s="85"/>
      <c r="Q11" s="89">
        <f>DATEDIF(Q10,Q12,"Y")</f>
        <v>1</v>
      </c>
      <c r="R11" s="85"/>
      <c r="S11" s="85"/>
      <c r="T11" s="85"/>
      <c r="U11" s="85"/>
      <c r="V11" s="85"/>
      <c r="W11" s="85"/>
    </row>
    <row r="12" spans="2:23" ht="21.75" thickTop="1" thickBot="1" x14ac:dyDescent="0.35">
      <c r="D12" s="90">
        <f>IF(M10="SI",EDATE(D10,12*VLOOKUP(B3,'TABLA ADECUACIONES'!A12:E18,3,FALSE)),D10)</f>
        <v>39766</v>
      </c>
      <c r="E12" s="78"/>
      <c r="F12" s="79">
        <v>43526</v>
      </c>
      <c r="G12" s="78"/>
      <c r="H12" s="68">
        <f>DATEDIF($D$12,F12,"Y")</f>
        <v>10</v>
      </c>
      <c r="I12" s="68">
        <f>DATEDIF($D$12,F12,"YM")</f>
        <v>3</v>
      </c>
      <c r="J12" s="68">
        <f>DATEDIF($D$12,F12,"MD")</f>
        <v>16</v>
      </c>
      <c r="K12" s="78"/>
      <c r="L12" s="80">
        <f>IF($H12&gt;=(VLOOKUP($L$10,'TABLA ADECUACIONES'!$A$12:$E$18,3,FALSE)),MIN($L$10+1,6),$L$10)</f>
        <v>2</v>
      </c>
      <c r="M12" s="81" t="str">
        <f>IF(L12&gt;L10,"SI","NO")</f>
        <v>SI</v>
      </c>
      <c r="O12" s="91">
        <f>IF($U12&gt;=(VLOOKUP($O$10,'TABLA ADECUACIONES'!$A$12:$E$18,4,FALSE)),MIN($O$10+1,6),$O$10)</f>
        <v>2</v>
      </c>
      <c r="P12" s="83" t="str">
        <f>IF(O12&gt;O10,"SI","NO")</f>
        <v>SI</v>
      </c>
      <c r="Q12" s="84">
        <f>IF(P10="SI",EDATE(Q10,12*VLOOKUP(B3,'TABLA ADECUACIONES'!A12:E18,4,FALSE)),Q10)</f>
        <v>39766</v>
      </c>
      <c r="R12" s="85"/>
      <c r="S12" s="86">
        <v>43525</v>
      </c>
      <c r="T12" s="85"/>
      <c r="U12" s="75">
        <f>DATEDIF($Q$12,F12,"Y")</f>
        <v>10</v>
      </c>
      <c r="V12" s="75">
        <f>DATEDIF($Q$12,F12,"YM")</f>
        <v>3</v>
      </c>
      <c r="W12" s="75">
        <f>DATEDIF($Q$12,F12,"MD")</f>
        <v>16</v>
      </c>
    </row>
    <row r="13" spans="2:23" ht="24.75" thickTop="1" thickBot="1" x14ac:dyDescent="0.4">
      <c r="C13" s="92"/>
      <c r="D13" s="87">
        <f>DATEDIF(D12,D14,"Y")</f>
        <v>4</v>
      </c>
      <c r="E13" s="78"/>
      <c r="F13" s="78"/>
      <c r="G13" s="78"/>
      <c r="H13" s="78"/>
      <c r="I13" s="78"/>
      <c r="J13" s="78"/>
      <c r="K13" s="78"/>
      <c r="L13" s="78"/>
      <c r="M13" s="88"/>
      <c r="O13" s="85"/>
      <c r="P13" s="85"/>
      <c r="Q13" s="93">
        <f>DATEDIF(Q12,Q14,"Y")</f>
        <v>3</v>
      </c>
      <c r="R13" s="85"/>
      <c r="S13" s="85"/>
      <c r="T13" s="85"/>
      <c r="U13" s="85"/>
      <c r="V13" s="85"/>
      <c r="W13" s="85"/>
    </row>
    <row r="14" spans="2:23" ht="21.75" thickTop="1" thickBot="1" x14ac:dyDescent="0.35">
      <c r="C14" s="94"/>
      <c r="D14" s="90">
        <f>IF(M12="SI",EDATE(D12,12*VLOOKUP(L10,'TABLA ADECUACIONES'!A12:E18,3,FALSE)),D12)</f>
        <v>41227</v>
      </c>
      <c r="E14" s="78"/>
      <c r="F14" s="79">
        <v>43710</v>
      </c>
      <c r="G14" s="78"/>
      <c r="H14" s="68">
        <f>DATEDIF($D$14,F14,"Y")</f>
        <v>6</v>
      </c>
      <c r="I14" s="68">
        <f>DATEDIF($D$14,F14,"YM")</f>
        <v>9</v>
      </c>
      <c r="J14" s="68">
        <f>DATEDIF($D$14,F14,"MD")</f>
        <v>19</v>
      </c>
      <c r="K14" s="78"/>
      <c r="L14" s="80">
        <f>IF($H14&gt;=(VLOOKUP($L$12,'TABLA ADECUACIONES'!$A$12:$E$18,3,FALSE)),MIN($L$12+1,6),$L$12)</f>
        <v>3</v>
      </c>
      <c r="M14" s="81" t="str">
        <f>IF(L14&gt;L12,"SI","NO")</f>
        <v>SI</v>
      </c>
      <c r="O14" s="91">
        <f>IF($U14&gt;=(VLOOKUP($O$12,'TABLA ADECUACIONES'!$A$12:$E$18,3,FALSE)),MIN($O$12+1,6),$O$12)</f>
        <v>3</v>
      </c>
      <c r="P14" s="83" t="str">
        <f>IF(O14&gt;O12,"SI","NO")</f>
        <v>SI</v>
      </c>
      <c r="Q14" s="84">
        <f>IF(P12="SI",EDATE(Q12,12*VLOOKUP(O10,'TABLA ADECUACIONES'!A12:E18,4,FALSE)),Q12)</f>
        <v>40861</v>
      </c>
      <c r="R14" s="85"/>
      <c r="S14" s="86">
        <v>43709</v>
      </c>
      <c r="T14" s="85"/>
      <c r="U14" s="75">
        <f>DATEDIF($Q$14,F14,"Y")</f>
        <v>7</v>
      </c>
      <c r="V14" s="75">
        <f>DATEDIF($Q$14,F14,"YM")</f>
        <v>9</v>
      </c>
      <c r="W14" s="75">
        <f>DATEDIF($Q$14,F14,"MD")</f>
        <v>19</v>
      </c>
    </row>
    <row r="15" spans="2:23" ht="21" thickTop="1" x14ac:dyDescent="0.3">
      <c r="B15" s="95"/>
      <c r="L15" s="78"/>
      <c r="M15" s="88"/>
      <c r="O15" s="85"/>
      <c r="P15" s="85"/>
    </row>
    <row r="16" spans="2:23" ht="60.75" x14ac:dyDescent="0.3">
      <c r="B16" s="96"/>
      <c r="C16" s="97"/>
      <c r="D16" s="97"/>
      <c r="L16" s="69" t="s">
        <v>28</v>
      </c>
      <c r="M16" s="88"/>
      <c r="O16" s="70" t="s">
        <v>28</v>
      </c>
      <c r="P16" s="85"/>
    </row>
    <row r="17" spans="2:16" ht="13.5" thickBot="1" x14ac:dyDescent="0.25">
      <c r="B17" s="56"/>
      <c r="L17" s="78"/>
      <c r="M17" s="88"/>
      <c r="O17" s="98"/>
      <c r="P17" s="85"/>
    </row>
    <row r="18" spans="2:16" ht="27.75" thickTop="1" thickBot="1" x14ac:dyDescent="0.45">
      <c r="B18" s="95"/>
      <c r="H18" s="99"/>
      <c r="L18" s="100">
        <f>IF(AND(L14&lt;(B3+3),IF(VLOOKUP(L14,'TABLA ADECUACIONES'!$A$12:$E$18,5,FALSE)=TRUE,L14+1,L14)&gt;L14),IF(L14+1&lt;7,L14+1,6),L14)</f>
        <v>3</v>
      </c>
      <c r="M18" s="88"/>
      <c r="O18" s="101">
        <f>IF(AND(O14&lt;(B3+3),IF(VLOOKUP(O14,'TABLA ADECUACIONES'!$A$12:$E$18,5,FALSE)=TRUE,O14+1,O14)&gt;O14),IF(O14+1&lt;7,O14+1,6),O14)</f>
        <v>3</v>
      </c>
      <c r="P18" s="85"/>
    </row>
    <row r="19" spans="2:16" ht="13.5" thickTop="1" x14ac:dyDescent="0.2">
      <c r="B19" s="102"/>
      <c r="L19" s="78"/>
      <c r="M19" s="88"/>
      <c r="O19" s="85"/>
      <c r="P19" s="85"/>
    </row>
    <row r="20" spans="2:16" x14ac:dyDescent="0.2">
      <c r="B20" s="102"/>
      <c r="L20" s="78"/>
      <c r="M20" s="88"/>
      <c r="O20" s="85"/>
      <c r="P20" s="85"/>
    </row>
    <row r="21" spans="2:16" x14ac:dyDescent="0.2">
      <c r="B21" s="102"/>
    </row>
  </sheetData>
  <sheetProtection algorithmName="SHA-512" hashValue="CZf+7Yq+evG5NT1aRg5PIYp1l29saruJwJ+TPtlhzD6eZ1eRqZAdorwqaJpHkwiRPP4BtDiBQLXjL5pNq4t1Gg==" saltValue="AQklEeFcJsENTdFTUQqAbQ==" spinCount="100000" sheet="1" objects="1" scenarios="1"/>
  <dataValidations disablePrompts="1" count="1">
    <dataValidation type="list" allowBlank="1" showInputMessage="1" showErrorMessage="1" promptTitle="SELECCIONAR UNA OPCIÓN" prompt="SI o NO" sqref="C14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4" sqref="D14"/>
    </sheetView>
  </sheetViews>
  <sheetFormatPr baseColWidth="10" defaultColWidth="62" defaultRowHeight="12.75" x14ac:dyDescent="0.2"/>
  <cols>
    <col min="1" max="1" width="49.85546875" bestFit="1" customWidth="1"/>
    <col min="2" max="2" width="6.140625" bestFit="1" customWidth="1"/>
    <col min="3" max="3" width="16.5703125" bestFit="1" customWidth="1"/>
    <col min="4" max="4" width="31.5703125" bestFit="1" customWidth="1"/>
    <col min="5" max="5" width="42.42578125" bestFit="1" customWidth="1"/>
    <col min="6" max="6" width="46.28515625" bestFit="1" customWidth="1"/>
    <col min="7" max="7" width="11" bestFit="1" customWidth="1"/>
    <col min="8" max="8" width="19.28515625" bestFit="1" customWidth="1"/>
  </cols>
  <sheetData>
    <row r="1" spans="1:8" ht="15.75" thickBot="1" x14ac:dyDescent="0.25">
      <c r="A1" s="111" t="s">
        <v>6</v>
      </c>
      <c r="B1" s="111" t="s">
        <v>7</v>
      </c>
      <c r="C1" s="113" t="s">
        <v>27</v>
      </c>
      <c r="D1" s="114"/>
      <c r="E1" s="111" t="s">
        <v>26</v>
      </c>
      <c r="F1" s="111" t="s">
        <v>8</v>
      </c>
      <c r="G1" s="113" t="s">
        <v>9</v>
      </c>
      <c r="H1" s="114"/>
    </row>
    <row r="2" spans="1:8" ht="15.75" thickBot="1" x14ac:dyDescent="0.25">
      <c r="A2" s="112"/>
      <c r="B2" s="112"/>
      <c r="C2" s="2" t="s">
        <v>10</v>
      </c>
      <c r="D2" s="2" t="s">
        <v>31</v>
      </c>
      <c r="E2" s="112"/>
      <c r="F2" s="112"/>
      <c r="G2" s="3" t="s">
        <v>11</v>
      </c>
      <c r="H2" s="4" t="s">
        <v>12</v>
      </c>
    </row>
    <row r="3" spans="1:8" ht="15.75" thickBot="1" x14ac:dyDescent="0.25">
      <c r="A3" s="5" t="s">
        <v>13</v>
      </c>
      <c r="B3" s="4">
        <v>22</v>
      </c>
      <c r="C3" s="6">
        <v>1</v>
      </c>
      <c r="D3" s="7">
        <v>1</v>
      </c>
      <c r="E3" s="8" t="s">
        <v>14</v>
      </c>
      <c r="F3" s="8">
        <v>1</v>
      </c>
      <c r="G3" s="9">
        <v>3509.0016500000002</v>
      </c>
      <c r="H3" s="10">
        <v>250.64297500000001</v>
      </c>
    </row>
    <row r="4" spans="1:8" ht="15.75" thickBot="1" x14ac:dyDescent="0.25">
      <c r="A4" s="11" t="s">
        <v>15</v>
      </c>
      <c r="B4" s="111">
        <v>24</v>
      </c>
      <c r="C4" s="8">
        <v>4</v>
      </c>
      <c r="D4" s="12">
        <v>3</v>
      </c>
      <c r="E4" s="13" t="s">
        <v>16</v>
      </c>
      <c r="F4" s="13">
        <v>2</v>
      </c>
      <c r="G4" s="14">
        <v>2733.0019500000017</v>
      </c>
      <c r="H4" s="15">
        <v>195.21442500000012</v>
      </c>
    </row>
    <row r="5" spans="1:8" ht="15.75" thickBot="1" x14ac:dyDescent="0.25">
      <c r="A5" s="11" t="s">
        <v>17</v>
      </c>
      <c r="B5" s="115"/>
      <c r="C5" s="12">
        <v>5</v>
      </c>
      <c r="D5" s="12">
        <v>3</v>
      </c>
      <c r="E5" s="13" t="s">
        <v>18</v>
      </c>
      <c r="F5" s="13">
        <v>3</v>
      </c>
      <c r="G5" s="14">
        <v>2001.0238499999996</v>
      </c>
      <c r="H5" s="15">
        <v>142.93027499999997</v>
      </c>
    </row>
    <row r="6" spans="1:8" ht="15.75" thickBot="1" x14ac:dyDescent="0.25">
      <c r="A6" s="11" t="s">
        <v>19</v>
      </c>
      <c r="B6" s="112"/>
      <c r="C6" s="16">
        <v>5</v>
      </c>
      <c r="D6" s="16">
        <v>3</v>
      </c>
      <c r="E6" s="13" t="s">
        <v>20</v>
      </c>
      <c r="F6" s="13">
        <v>4</v>
      </c>
      <c r="G6" s="14">
        <v>2169.1453000000001</v>
      </c>
      <c r="H6" s="15">
        <v>154.93895000000001</v>
      </c>
    </row>
    <row r="7" spans="1:8" ht="15.75" thickBot="1" x14ac:dyDescent="0.25">
      <c r="A7" s="11" t="s">
        <v>21</v>
      </c>
      <c r="B7" s="111">
        <v>26</v>
      </c>
      <c r="C7" s="12">
        <v>5</v>
      </c>
      <c r="D7" s="12">
        <v>3</v>
      </c>
      <c r="E7" s="13" t="s">
        <v>22</v>
      </c>
      <c r="F7" s="13">
        <v>5</v>
      </c>
      <c r="G7" s="14">
        <v>4578.2604000000047</v>
      </c>
      <c r="H7" s="15">
        <v>327.01860000000033</v>
      </c>
    </row>
    <row r="8" spans="1:8" ht="15.75" thickBot="1" x14ac:dyDescent="0.25">
      <c r="A8" s="17" t="s">
        <v>23</v>
      </c>
      <c r="B8" s="112"/>
      <c r="C8" s="6">
        <v>4</v>
      </c>
      <c r="D8" s="6">
        <v>3</v>
      </c>
      <c r="E8" s="6" t="s">
        <v>24</v>
      </c>
      <c r="F8" s="6">
        <v>6</v>
      </c>
      <c r="G8" s="18">
        <v>2468.9762999999984</v>
      </c>
      <c r="H8" s="19">
        <v>176.35544999999988</v>
      </c>
    </row>
    <row r="12" spans="1:8" s="1" customFormat="1" x14ac:dyDescent="0.2">
      <c r="A12" s="20">
        <v>0</v>
      </c>
      <c r="C12" s="1">
        <v>1</v>
      </c>
      <c r="D12" s="1">
        <v>1</v>
      </c>
      <c r="E12" s="20" t="b">
        <f>OR(AND(DATOS!H12&gt;=1,DATOS!H12&lt;5),DATOS!H12&gt;=5)</f>
        <v>0</v>
      </c>
    </row>
    <row r="13" spans="1:8" x14ac:dyDescent="0.2">
      <c r="A13" s="20">
        <v>1</v>
      </c>
      <c r="C13" s="1">
        <v>4</v>
      </c>
      <c r="D13" s="1">
        <v>3</v>
      </c>
      <c r="E13" s="20" t="b">
        <f>OR(AND(DATOS!H12&gt;=5,DATOS!H12&lt;10),DATOS!H12&gt;=10)</f>
        <v>0</v>
      </c>
    </row>
    <row r="14" spans="1:8" x14ac:dyDescent="0.2">
      <c r="A14" s="20">
        <v>2</v>
      </c>
      <c r="C14" s="1">
        <v>5</v>
      </c>
      <c r="D14" s="1">
        <v>3</v>
      </c>
      <c r="E14" s="20" t="b">
        <f>OR(AND(DATOS!H12&gt;=10,DATOS!H12&lt;15),DATOS!H12&gt;=15)</f>
        <v>0</v>
      </c>
    </row>
    <row r="15" spans="1:8" x14ac:dyDescent="0.2">
      <c r="A15" s="20">
        <v>3</v>
      </c>
      <c r="C15" s="1">
        <v>5</v>
      </c>
      <c r="D15" s="1">
        <v>3</v>
      </c>
      <c r="E15" s="20" t="b">
        <f>OR(AND(DATOS!H12&gt;=15,DATOS!H12&lt;20),DATOS!H12&gt;=20)</f>
        <v>0</v>
      </c>
    </row>
    <row r="16" spans="1:8" x14ac:dyDescent="0.2">
      <c r="A16" s="20">
        <v>4</v>
      </c>
      <c r="C16" s="1">
        <v>5</v>
      </c>
      <c r="D16" s="1">
        <v>3</v>
      </c>
      <c r="E16" s="20" t="b">
        <f>OR(AND(DATOS!H12&gt;=20,DATOS!H12&lt;24),DATOS!H12&gt;=24)</f>
        <v>0</v>
      </c>
    </row>
    <row r="17" spans="1:5" x14ac:dyDescent="0.2">
      <c r="A17" s="20">
        <v>5</v>
      </c>
      <c r="C17" s="1">
        <v>4</v>
      </c>
      <c r="D17" s="1">
        <v>3</v>
      </c>
      <c r="E17" s="20" t="b">
        <f>DATOS!H12&gt;=24</f>
        <v>0</v>
      </c>
    </row>
    <row r="18" spans="1:5" x14ac:dyDescent="0.2">
      <c r="A18" s="20">
        <v>6</v>
      </c>
    </row>
  </sheetData>
  <sheetProtection algorithmName="SHA-512" hashValue="J+bhR0iFmG0Cq/XaJ0N9KX4Nl/LLjCsN9S/uSzqtLtO4nNr3lLqljLIF+hsDOZA8lwcz7Dvq4+NNbmRSnY+K7g==" saltValue="xgy1RZ7TW+MRRGlZvXAHFw==" spinCount="100000" sheet="1" objects="1" scenarios="1"/>
  <mergeCells count="8">
    <mergeCell ref="F1:F2"/>
    <mergeCell ref="G1:H1"/>
    <mergeCell ref="B4:B6"/>
    <mergeCell ref="B7:B8"/>
    <mergeCell ref="A1:A2"/>
    <mergeCell ref="B1:B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CALCULO RECLASIFICACIONES</vt:lpstr>
      <vt:lpstr>TABLA ADECUACIONES</vt:lpstr>
    </vt:vector>
  </TitlesOfParts>
  <Company>Opcweb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Pmb</dc:creator>
  <cp:lastModifiedBy>Gestha Valencia</cp:lastModifiedBy>
  <cp:lastPrinted>2018-09-05T11:38:16Z</cp:lastPrinted>
  <dcterms:created xsi:type="dcterms:W3CDTF">2002-12-24T11:59:54Z</dcterms:created>
  <dcterms:modified xsi:type="dcterms:W3CDTF">2018-09-07T11:26:21Z</dcterms:modified>
</cp:coreProperties>
</file>